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<sst xmlns="http://schemas.openxmlformats.org/spreadsheetml/2006/main" count="125" uniqueCount="121">
  <si>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</si>
  <si>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</si>
  <si>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</si>
  <si>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</si>
  <si>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</si>
  <si>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</si>
  <si>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</si>
  <si>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</si>
  <si>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</si>
  <si>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</si>
  <si>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</si>
  <si>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</si>
  <si>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</si>
  <si>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</si>
  <si>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</si>
  <si>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</si>
  <si>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</si>
  <si>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</si>
  <si>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</si>
  <si>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</si>
  <si>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</si>
  <si>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</si>
  <si>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</si>
  <si>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</si>
  <si>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</si>
  <si>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</si>
  <si>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</si>
  <si>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</si>
  <si>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</si>
  <si>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</si>
  <si>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</si>
  <si>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</si>
  <si>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</si>
  <si>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</si>
  <si>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</si>
  <si>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</si>
  <si>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</si>
  <si>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</si>
  <si>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</si>
  <si>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</si>
  <si>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</si>
  <si>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</si>
  <si>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</si>
  <si>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</si>
  <si>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</si>
  <si>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</si>
  <si>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</si>
  <si>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</si>
  <si>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</si>
  <si>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</si>
  <si>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</si>
  <si>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</si>
  <si>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</si>
  <si>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</si>
  <si>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</si>
  <si>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</si>
  <si>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</si>
  <si>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</si>
  <si>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</si>
  <si>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</si>
  <si>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</si>
  <si>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</si>
  <si>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</si>
  <si>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</si>
  <si>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</si>
  <si>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</si>
  <si>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</si>
  <si>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</si>
  <si>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</si>
  <si>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</si>
  <si>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</si>
  <si>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</si>
  <si>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</si>
  <si>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</si>
  <si>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</si>
  <si>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</si>
  <si>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</si>
  <si>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</si>
  <si>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</si>
  <si>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</si>
  <si>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</si>
  <si>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</si>
  <si>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</si>
  <si>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</si>
  <si>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</si>
  <si>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</si>
  <si>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</si>
  <si>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</si>
  <si>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</si>
  <si>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</si>
  <si>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</si>
  <si>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</si>
  <si>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</si>
  <si>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</si>
  <si>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</si>
  <si>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</si>
  <si>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</si>
  <si>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</si>
  <si>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</si>
  <si>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</si>
  <si>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</si>
  <si>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</si>
  <si>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</si>
  <si>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</si>
  <si>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</si>
  <si>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</si>
  <si>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</si>
  <si>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</si>
  <si>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</si>
  <si>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</si>
  <si>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</si>
  <si>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</si>
  <si>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</si>
  <si>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</si>
  <si>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</si>
  <si>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Капітальний ремонт бульв. Шевченка (від вул. Можайського до вул. Університетська), м. Черкаси (з ПКД)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</si>
  <si>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</si>
  <si>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</si>
  <si>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Профінансовано станом на 08.08.16</t>
  </si>
  <si>
    <t>Відсоток виконання до плану 8 місяців</t>
  </si>
  <si>
    <t>Залишок призначень до плану 8 місяців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</si>
</sst>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zoomScale="70" zoomScaleNormal="70" zoomScaleSheetLayoutView="40" zoomScalePageLayoutView="0" workbookViewId="0" topLeftCell="C1">
      <pane ySplit="7" topLeftCell="BM8" activePane="bottomLeft" state="frozen"/>
      <selection pane="topLeft" activeCell="A1" sqref="A1"/>
      <selection pane="bottomLeft" activeCell="G16" sqref="G1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87" t="s">
        <v>10</v>
      </c>
      <c r="B1" s="87"/>
      <c r="C1" s="87"/>
      <c r="D1" s="87"/>
      <c r="E1" s="87"/>
      <c r="F1" s="87"/>
      <c r="G1" s="87"/>
      <c r="H1" s="87"/>
    </row>
    <row r="2" spans="1:8" ht="20.25" customHeight="1">
      <c r="A2" s="88" t="s">
        <v>11</v>
      </c>
      <c r="B2" s="88"/>
      <c r="C2" s="88"/>
      <c r="D2" s="88"/>
      <c r="E2" s="88"/>
      <c r="F2" s="88"/>
      <c r="G2" s="88"/>
      <c r="H2" s="88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0" t="s">
        <v>7</v>
      </c>
      <c r="B4" s="12"/>
      <c r="C4" s="90" t="s">
        <v>13</v>
      </c>
      <c r="D4" s="89" t="s">
        <v>14</v>
      </c>
      <c r="E4" s="89" t="s">
        <v>0</v>
      </c>
      <c r="F4" s="89" t="s">
        <v>1</v>
      </c>
      <c r="G4" s="14" t="s">
        <v>2</v>
      </c>
      <c r="H4" s="89" t="s">
        <v>118</v>
      </c>
      <c r="I4" s="91" t="s">
        <v>41</v>
      </c>
      <c r="J4" s="91" t="s">
        <v>119</v>
      </c>
      <c r="K4" s="94" t="s">
        <v>120</v>
      </c>
      <c r="L4" s="91" t="s">
        <v>42</v>
      </c>
      <c r="M4" s="91" t="s">
        <v>43</v>
      </c>
      <c r="N4" s="91" t="s">
        <v>44</v>
      </c>
      <c r="O4" s="91" t="s">
        <v>45</v>
      </c>
      <c r="P4" s="91" t="s">
        <v>46</v>
      </c>
      <c r="Q4" s="91" t="s">
        <v>47</v>
      </c>
      <c r="R4" s="91" t="s">
        <v>48</v>
      </c>
      <c r="S4" s="91" t="s">
        <v>49</v>
      </c>
      <c r="T4" s="91" t="s">
        <v>50</v>
      </c>
      <c r="U4" s="91" t="s">
        <v>51</v>
      </c>
      <c r="V4" s="91" t="s">
        <v>52</v>
      </c>
      <c r="W4" s="91" t="s">
        <v>53</v>
      </c>
      <c r="X4" s="91" t="s">
        <v>54</v>
      </c>
    </row>
    <row r="5" spans="1:24" ht="55.5" customHeight="1">
      <c r="A5" s="90"/>
      <c r="B5" s="15" t="s">
        <v>8</v>
      </c>
      <c r="C5" s="90"/>
      <c r="D5" s="89"/>
      <c r="E5" s="89"/>
      <c r="F5" s="89"/>
      <c r="G5" s="13" t="s">
        <v>6</v>
      </c>
      <c r="H5" s="89"/>
      <c r="I5" s="92"/>
      <c r="J5" s="96"/>
      <c r="K5" s="95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2"/>
      <c r="K6" s="49"/>
    </row>
    <row r="7" spans="1:25" s="16" customFormat="1" ht="19.5" customHeight="1">
      <c r="A7" s="85" t="s">
        <v>15</v>
      </c>
      <c r="B7" s="86"/>
      <c r="C7" s="86"/>
      <c r="D7" s="86"/>
      <c r="E7" s="86"/>
      <c r="F7" s="86"/>
      <c r="G7" s="86"/>
      <c r="H7" s="86"/>
      <c r="I7" s="93"/>
      <c r="J7" s="72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73195248.49</v>
      </c>
      <c r="I8" s="67">
        <f>H8/D8*100</f>
        <v>49.81279255775682</v>
      </c>
      <c r="J8" s="71">
        <f>H8/(L8+M8+N8+O8+P8+Q8+R8+N25+O25+P25+Q25+R25+S8+S25)*100</f>
        <v>66.56007317725732</v>
      </c>
      <c r="K8" s="64">
        <f>K9+K17</f>
        <v>7382981.009999999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</f>
        <v>21582698.14</v>
      </c>
      <c r="I9" s="23">
        <f>H9/D9*100</f>
        <v>54.30051662646176</v>
      </c>
      <c r="J9" s="71">
        <f>H9/(L9+M9+N9+O9+P9+Q9+R9+S9+M17+N17+O17+P17+Q17+R17+S17)*100</f>
        <v>74.5112794636476</v>
      </c>
      <c r="K9" s="23">
        <f>L9+M9+N9+O9+P9+Q9+R9+S9-H10-H11-H12-H13-H14</f>
        <v>2827808.2399999993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6">
        <f>H10/D10*100</f>
        <v>82.61484940506607</v>
      </c>
      <c r="J10" s="82">
        <f>(H10+H11+H12+H13+H14)/(L9+M9+N9+O9+P9+Q9+R9)*100</f>
        <v>88.47466979525272</v>
      </c>
      <c r="K10" s="51">
        <f>E10-H10</f>
        <v>2381591.7799999993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/>
      <c r="J11" s="83"/>
      <c r="K11" s="51">
        <f>E11-H11</f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</f>
        <v>2619392.09</v>
      </c>
      <c r="I12" s="46">
        <f aca="true" t="shared" si="2" ref="I12:I24">H12/D12*100</f>
        <v>72.95456996532333</v>
      </c>
      <c r="J12" s="83"/>
      <c r="K12" s="51">
        <f>E12-H12</f>
        <v>971050.6900000004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</f>
        <v>944622</v>
      </c>
      <c r="I13" s="46">
        <f t="shared" si="2"/>
        <v>33.7365</v>
      </c>
      <c r="J13" s="83"/>
      <c r="K13" s="51">
        <f>E13-H13</f>
        <v>1855378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2"/>
        <v>74.5</v>
      </c>
      <c r="J14" s="84"/>
      <c r="K14" s="51">
        <f>E14-H14</f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/>
      <c r="I15" s="46"/>
      <c r="J15" s="74"/>
      <c r="K15" s="51">
        <f>E15-H15</f>
        <v>378405.78</v>
      </c>
      <c r="T15" s="75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6174926.630000001</v>
      </c>
      <c r="I17" s="46">
        <f t="shared" si="2"/>
        <v>50.59051615228951</v>
      </c>
      <c r="J17" s="82">
        <f>H17/(L17+M17+N17+O17+P17+Q17+R17)*100</f>
        <v>71.37685155197777</v>
      </c>
      <c r="K17" s="73">
        <f>L17+M17+N17+O17+P17+Q17+R17+S17-H17</f>
        <v>4555172.77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3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</f>
        <v>2861104.9000000004</v>
      </c>
      <c r="I18" s="47">
        <f>H18/D18*100</f>
        <v>63.38993907167387</v>
      </c>
      <c r="J18" s="83"/>
      <c r="K18" s="63"/>
      <c r="Y18" s="70"/>
    </row>
    <row r="19" spans="1:25" ht="18.75">
      <c r="A19" s="1"/>
      <c r="B19" s="21"/>
      <c r="C19" s="26" t="s">
        <v>23</v>
      </c>
      <c r="D19" s="27">
        <f t="shared" si="3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83"/>
      <c r="K19" s="63"/>
      <c r="Y19" s="70"/>
    </row>
    <row r="20" spans="1:25" ht="18.75">
      <c r="A20" s="1"/>
      <c r="B20" s="21"/>
      <c r="C20" s="26" t="s">
        <v>24</v>
      </c>
      <c r="D20" s="27">
        <f t="shared" si="3"/>
        <v>600300</v>
      </c>
      <c r="E20" s="27">
        <f>655300+25000-300000+220000</f>
        <v>600300</v>
      </c>
      <c r="F20" s="27"/>
      <c r="G20" s="28"/>
      <c r="H20" s="27">
        <f>33430+14302.4</f>
        <v>47732.4</v>
      </c>
      <c r="I20" s="47"/>
      <c r="J20" s="83"/>
      <c r="K20" s="63"/>
      <c r="Y20" s="70"/>
    </row>
    <row r="21" spans="1:25" ht="37.5">
      <c r="A21" s="1"/>
      <c r="B21" s="21"/>
      <c r="C21" s="26" t="s">
        <v>25</v>
      </c>
      <c r="D21" s="27">
        <f t="shared" si="3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</f>
        <v>587347.56</v>
      </c>
      <c r="I21" s="47">
        <f t="shared" si="2"/>
        <v>57.07390535419299</v>
      </c>
      <c r="J21" s="83"/>
      <c r="K21" s="63"/>
      <c r="Y21" s="70"/>
    </row>
    <row r="22" spans="1:25" ht="18.75">
      <c r="A22" s="1"/>
      <c r="B22" s="21"/>
      <c r="C22" s="26" t="s">
        <v>26</v>
      </c>
      <c r="D22" s="27">
        <f t="shared" si="3"/>
        <v>301100</v>
      </c>
      <c r="E22" s="27">
        <f>131100+170000</f>
        <v>301100</v>
      </c>
      <c r="F22" s="27"/>
      <c r="G22" s="28"/>
      <c r="H22" s="27">
        <f>48844.8+7632+59492</f>
        <v>115968.8</v>
      </c>
      <c r="I22" s="47"/>
      <c r="J22" s="8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3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2"/>
        <v>18.550778395552026</v>
      </c>
      <c r="J23" s="8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2"/>
        <v>4.788429591174562</v>
      </c>
      <c r="J24" s="8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51612550.349999994</v>
      </c>
      <c r="I25" s="45">
        <f>H25/D25*100</f>
        <v>48.14877522397244</v>
      </c>
      <c r="J25" s="69">
        <f>H25/(L25+M25+N25+O25+P25+Q25+R25+S25)*100</f>
        <v>63.716820145630415</v>
      </c>
      <c r="K25" s="52">
        <f>L25+M25+N25+O25+P25+Q25+R25+S25-H25</f>
        <v>29390472.450000003</v>
      </c>
      <c r="L25" s="62">
        <f aca="true" t="shared" si="4" ref="L25:X25">SUM(L26:L45)</f>
        <v>0</v>
      </c>
      <c r="M25" s="62">
        <f t="shared" si="4"/>
        <v>0</v>
      </c>
      <c r="N25" s="62">
        <f t="shared" si="4"/>
        <v>5770000</v>
      </c>
      <c r="O25" s="62">
        <f t="shared" si="4"/>
        <v>14486801.99</v>
      </c>
      <c r="P25" s="62">
        <f>SUM(P26:P45)</f>
        <v>13603977.01</v>
      </c>
      <c r="Q25" s="62">
        <f t="shared" si="4"/>
        <v>3768235.38</v>
      </c>
      <c r="R25" s="62">
        <f t="shared" si="4"/>
        <v>18763192.62</v>
      </c>
      <c r="S25" s="62">
        <f t="shared" si="4"/>
        <v>24610815.8</v>
      </c>
      <c r="T25" s="62">
        <f t="shared" si="4"/>
        <v>5458318.25</v>
      </c>
      <c r="U25" s="62">
        <f t="shared" si="4"/>
        <v>9006629.57</v>
      </c>
      <c r="V25" s="62">
        <f t="shared" si="4"/>
        <v>4477591.18</v>
      </c>
      <c r="W25" s="62">
        <f t="shared" si="4"/>
        <v>7248339</v>
      </c>
      <c r="X25" s="62">
        <f t="shared" si="4"/>
        <v>107193900.8</v>
      </c>
      <c r="Y25" s="70">
        <f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 aca="true" t="shared" si="5" ref="J26:J89">H26/(L26+M26+N26+O26+P26+Q26+R26+S26)*100</f>
        <v>40.476190476190474</v>
      </c>
      <c r="K26" s="52">
        <f aca="true" t="shared" si="6" ref="K26:K89">L26+M26+N26+O26+P26+Q26+R26+S26-H26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>D26-X26</f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7" ref="D27:D42">F27</f>
        <v>40000</v>
      </c>
      <c r="E27" s="30"/>
      <c r="F27" s="32">
        <f aca="true" t="shared" si="8" ref="F27:F42">G27</f>
        <v>40000</v>
      </c>
      <c r="G27" s="32">
        <f>590000-550000</f>
        <v>40000</v>
      </c>
      <c r="H27" s="25"/>
      <c r="I27" s="45"/>
      <c r="J27" s="68">
        <f t="shared" si="5"/>
        <v>0</v>
      </c>
      <c r="K27" s="52">
        <f t="shared" si="6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9" ref="X27:X45">SUM(L27:W27)</f>
        <v>40000</v>
      </c>
      <c r="Y27" s="77">
        <f aca="true" t="shared" si="10" ref="Y27:Y45">D27-X27</f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7"/>
        <v>378000</v>
      </c>
      <c r="E28" s="30"/>
      <c r="F28" s="32">
        <f t="shared" si="8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5"/>
        <v>99.9891111111111</v>
      </c>
      <c r="K28" s="52">
        <f t="shared" si="6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9"/>
        <v>378000</v>
      </c>
      <c r="Y28" s="77">
        <f t="shared" si="10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7"/>
        <v>360000</v>
      </c>
      <c r="E29" s="30"/>
      <c r="F29" s="32">
        <f t="shared" si="8"/>
        <v>360000</v>
      </c>
      <c r="G29" s="32">
        <f>320000+40000</f>
        <v>360000</v>
      </c>
      <c r="H29" s="25">
        <f>20000+15000+230000</f>
        <v>265000</v>
      </c>
      <c r="I29" s="46">
        <f>H29/D29*100</f>
        <v>73.61111111111111</v>
      </c>
      <c r="J29" s="68">
        <f t="shared" si="5"/>
        <v>73.61111111111111</v>
      </c>
      <c r="K29" s="52">
        <f t="shared" si="6"/>
        <v>95000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9"/>
        <v>360000</v>
      </c>
      <c r="Y29" s="77">
        <f t="shared" si="10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7"/>
        <v>402000</v>
      </c>
      <c r="E30" s="30"/>
      <c r="F30" s="32">
        <f t="shared" si="8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5"/>
        <v>45.27363184079602</v>
      </c>
      <c r="K30" s="52">
        <f t="shared" si="6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9"/>
        <v>402000</v>
      </c>
      <c r="Y30" s="77">
        <f t="shared" si="10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7"/>
        <v>700000</v>
      </c>
      <c r="E31" s="30"/>
      <c r="F31" s="32">
        <f t="shared" si="8"/>
        <v>700000</v>
      </c>
      <c r="G31" s="32">
        <f>700000</f>
        <v>700000</v>
      </c>
      <c r="H31" s="25"/>
      <c r="I31" s="46"/>
      <c r="J31" s="68">
        <f t="shared" si="5"/>
        <v>0</v>
      </c>
      <c r="K31" s="52">
        <f t="shared" si="6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9"/>
        <v>700000</v>
      </c>
      <c r="Y31" s="77">
        <f t="shared" si="10"/>
        <v>0</v>
      </c>
    </row>
    <row r="32" spans="1:25" s="4" customFormat="1" ht="24" customHeight="1">
      <c r="A32" s="1"/>
      <c r="B32" s="5"/>
      <c r="C32" s="78" t="s">
        <v>115</v>
      </c>
      <c r="D32" s="32">
        <f t="shared" si="7"/>
        <v>541000</v>
      </c>
      <c r="E32" s="30"/>
      <c r="F32" s="32">
        <f t="shared" si="8"/>
        <v>541000</v>
      </c>
      <c r="G32" s="32">
        <f>291000+250000</f>
        <v>541000</v>
      </c>
      <c r="H32" s="25"/>
      <c r="I32" s="45"/>
      <c r="J32" s="68">
        <f t="shared" si="5"/>
        <v>0</v>
      </c>
      <c r="K32" s="52">
        <f t="shared" si="6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9"/>
        <v>541000</v>
      </c>
      <c r="Y32" s="77">
        <f t="shared" si="10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7"/>
        <v>1050000</v>
      </c>
      <c r="E33" s="30"/>
      <c r="F33" s="32">
        <f t="shared" si="8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5"/>
        <v>55.75922989892236</v>
      </c>
      <c r="K33" s="52">
        <f t="shared" si="6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10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7"/>
        <v>7000000</v>
      </c>
      <c r="E34" s="30"/>
      <c r="F34" s="32">
        <f t="shared" si="8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8">
        <f t="shared" si="5"/>
        <v>6</v>
      </c>
      <c r="K34" s="52">
        <f t="shared" si="6"/>
        <v>4136000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v>100000</v>
      </c>
      <c r="U34" s="43">
        <v>2500000</v>
      </c>
      <c r="V34" s="43"/>
      <c r="W34" s="43"/>
      <c r="X34" s="76">
        <f t="shared" si="9"/>
        <v>7000000</v>
      </c>
      <c r="Y34" s="77">
        <f t="shared" si="10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7"/>
        <v>23000000</v>
      </c>
      <c r="E35" s="30"/>
      <c r="F35" s="32">
        <f t="shared" si="8"/>
        <v>23000000</v>
      </c>
      <c r="G35" s="32">
        <v>23000000</v>
      </c>
      <c r="H35" s="25">
        <f>250000+350000+11000000</f>
        <v>11600000</v>
      </c>
      <c r="I35" s="46">
        <f aca="true" t="shared" si="11" ref="I35:I41">H35/D35*100</f>
        <v>50.43478260869565</v>
      </c>
      <c r="J35" s="68">
        <f t="shared" si="5"/>
        <v>92.80000000000001</v>
      </c>
      <c r="K35" s="52">
        <f t="shared" si="6"/>
        <v>900000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v>820000</v>
      </c>
      <c r="T35" s="43"/>
      <c r="U35" s="43">
        <f>152379.64+3774249.93</f>
        <v>3926629.5700000003</v>
      </c>
      <c r="V35" s="43">
        <v>3073370.4299999997</v>
      </c>
      <c r="W35" s="43">
        <v>3500000</v>
      </c>
      <c r="X35" s="76">
        <f t="shared" si="9"/>
        <v>23000000</v>
      </c>
      <c r="Y35" s="77">
        <f t="shared" si="10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7"/>
        <v>1466600</v>
      </c>
      <c r="E36" s="30"/>
      <c r="F36" s="32">
        <f t="shared" si="8"/>
        <v>1466600</v>
      </c>
      <c r="G36" s="32">
        <f>1281600+185000</f>
        <v>1466600</v>
      </c>
      <c r="H36" s="25">
        <f>80000+35000</f>
        <v>115000</v>
      </c>
      <c r="I36" s="46">
        <f t="shared" si="11"/>
        <v>7.8412655120687305</v>
      </c>
      <c r="J36" s="68">
        <f t="shared" si="5"/>
        <v>8.835279655808236</v>
      </c>
      <c r="K36" s="52">
        <f t="shared" si="6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9"/>
        <v>1466600</v>
      </c>
      <c r="Y36" s="77">
        <f t="shared" si="10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7"/>
        <v>49273597</v>
      </c>
      <c r="E37" s="30"/>
      <c r="F37" s="32">
        <f t="shared" si="8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+21300.82+3364200.06+1500</f>
        <v>23061949.880000003</v>
      </c>
      <c r="I37" s="46">
        <f t="shared" si="11"/>
        <v>46.803869179674464</v>
      </c>
      <c r="J37" s="68">
        <f t="shared" si="5"/>
        <v>60.87350014675978</v>
      </c>
      <c r="K37" s="52">
        <f t="shared" si="6"/>
        <v>14823090.119999997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</f>
        <v>17118767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</f>
        <v>1000000</v>
      </c>
      <c r="W37" s="43">
        <f>3000000</f>
        <v>3000000</v>
      </c>
      <c r="X37" s="76">
        <f t="shared" si="9"/>
        <v>49273597</v>
      </c>
      <c r="Y37" s="77">
        <f t="shared" si="10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7"/>
        <v>5000000</v>
      </c>
      <c r="E38" s="30"/>
      <c r="F38" s="32">
        <f t="shared" si="8"/>
        <v>5000000</v>
      </c>
      <c r="G38" s="32">
        <v>5000000</v>
      </c>
      <c r="H38" s="25">
        <f>108000+2394100+780000+290000</f>
        <v>3572100</v>
      </c>
      <c r="I38" s="46">
        <f t="shared" si="11"/>
        <v>71.44200000000001</v>
      </c>
      <c r="J38" s="68">
        <f t="shared" si="5"/>
        <v>79.38</v>
      </c>
      <c r="K38" s="52">
        <f t="shared" si="6"/>
        <v>927900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/>
      <c r="U38" s="43"/>
      <c r="V38" s="43"/>
      <c r="W38" s="43">
        <f>500000</f>
        <v>500000</v>
      </c>
      <c r="X38" s="76">
        <f t="shared" si="9"/>
        <v>5000000</v>
      </c>
      <c r="Y38" s="77">
        <f t="shared" si="10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7"/>
        <v>6380000</v>
      </c>
      <c r="E39" s="30"/>
      <c r="F39" s="32">
        <f t="shared" si="8"/>
        <v>6380000</v>
      </c>
      <c r="G39" s="32">
        <f>5000000+1380000</f>
        <v>6380000</v>
      </c>
      <c r="H39" s="25">
        <f>173000+900000+31000+900000+32000+1100000+32000+500000+21466.9+43601.11+16760.29</f>
        <v>3749828.3</v>
      </c>
      <c r="I39" s="46">
        <f t="shared" si="11"/>
        <v>58.774738244514104</v>
      </c>
      <c r="J39" s="68">
        <f t="shared" si="5"/>
        <v>62.49713833333333</v>
      </c>
      <c r="K39" s="52">
        <f t="shared" si="6"/>
        <v>2250171.7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9"/>
        <v>6380000</v>
      </c>
      <c r="Y39" s="77">
        <f t="shared" si="10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7"/>
        <v>1391000</v>
      </c>
      <c r="E40" s="30"/>
      <c r="F40" s="32">
        <f t="shared" si="8"/>
        <v>1391000</v>
      </c>
      <c r="G40" s="32">
        <f>1500000-109000</f>
        <v>1391000</v>
      </c>
      <c r="H40" s="25">
        <f>57000+1000000</f>
        <v>1057000</v>
      </c>
      <c r="I40" s="46">
        <f t="shared" si="11"/>
        <v>75.98849748382459</v>
      </c>
      <c r="J40" s="68">
        <f t="shared" si="5"/>
        <v>75.98849748382459</v>
      </c>
      <c r="K40" s="52">
        <f t="shared" si="6"/>
        <v>334000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9"/>
        <v>1391000</v>
      </c>
      <c r="Y40" s="77">
        <f t="shared" si="10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7"/>
        <v>1600000</v>
      </c>
      <c r="E41" s="30"/>
      <c r="F41" s="32">
        <f t="shared" si="8"/>
        <v>1600000</v>
      </c>
      <c r="G41" s="32">
        <f>1750000-150000</f>
        <v>1600000</v>
      </c>
      <c r="H41" s="25">
        <f>38000+1037000</f>
        <v>1075000</v>
      </c>
      <c r="I41" s="46">
        <f t="shared" si="11"/>
        <v>67.1875</v>
      </c>
      <c r="J41" s="68">
        <f t="shared" si="5"/>
        <v>67.1875</v>
      </c>
      <c r="K41" s="52">
        <f t="shared" si="6"/>
        <v>525000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9"/>
        <v>1600000</v>
      </c>
      <c r="Y41" s="77">
        <f t="shared" si="10"/>
        <v>0</v>
      </c>
    </row>
    <row r="42" spans="1:25" s="4" customFormat="1" ht="18.75">
      <c r="A42" s="1"/>
      <c r="B42" s="5"/>
      <c r="C42" s="54" t="s">
        <v>109</v>
      </c>
      <c r="D42" s="32">
        <f t="shared" si="7"/>
        <v>89760</v>
      </c>
      <c r="E42" s="30"/>
      <c r="F42" s="32">
        <f t="shared" si="8"/>
        <v>89760</v>
      </c>
      <c r="G42" s="32">
        <v>89760</v>
      </c>
      <c r="H42" s="25"/>
      <c r="I42" s="46"/>
      <c r="J42" s="68"/>
      <c r="K42" s="52">
        <f t="shared" si="6"/>
        <v>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9"/>
        <v>89760</v>
      </c>
      <c r="Y42" s="77">
        <f t="shared" si="10"/>
        <v>0</v>
      </c>
    </row>
    <row r="43" spans="1:25" s="4" customFormat="1" ht="24" customHeight="1">
      <c r="A43" s="1"/>
      <c r="B43" s="5"/>
      <c r="C43" s="7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5"/>
        <v>68.85703285714285</v>
      </c>
      <c r="K43" s="52">
        <f t="shared" si="6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9"/>
        <v>7700000</v>
      </c>
      <c r="Y43" s="77">
        <f t="shared" si="10"/>
        <v>0</v>
      </c>
    </row>
    <row r="44" spans="1:25" s="4" customFormat="1" ht="22.5" customHeight="1">
      <c r="A44" s="1"/>
      <c r="B44" s="5"/>
      <c r="C44" s="7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8">
        <f t="shared" si="5"/>
        <v>100</v>
      </c>
      <c r="K44" s="52">
        <f t="shared" si="6"/>
        <v>0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10"/>
        <v>0</v>
      </c>
    </row>
    <row r="45" spans="1:25" s="4" customFormat="1" ht="22.5" customHeight="1">
      <c r="A45" s="1"/>
      <c r="B45" s="80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5"/>
        <v>100.00000000000016</v>
      </c>
      <c r="K45" s="52">
        <f t="shared" si="6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9"/>
        <v>256188.79999999958</v>
      </c>
      <c r="Y45" s="77">
        <f t="shared" si="10"/>
        <v>2.3283064365386963E-10</v>
      </c>
    </row>
    <row r="46" spans="1:25" s="16" customFormat="1" ht="24" customHeight="1">
      <c r="A46" s="85" t="s">
        <v>29</v>
      </c>
      <c r="B46" s="86"/>
      <c r="C46" s="86"/>
      <c r="D46" s="86"/>
      <c r="E46" s="86"/>
      <c r="F46" s="86"/>
      <c r="G46" s="86"/>
      <c r="H46" s="86"/>
      <c r="I46" s="86"/>
      <c r="J46" s="69"/>
      <c r="K46" s="52"/>
      <c r="X46" s="66"/>
      <c r="Y46" s="70"/>
    </row>
    <row r="47" spans="1:25" s="16" customFormat="1" ht="36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37233009.78000001</v>
      </c>
      <c r="I47" s="65">
        <f>H47/D47*100</f>
        <v>39.007740993176995</v>
      </c>
      <c r="J47" s="69"/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37233009.78000001</v>
      </c>
      <c r="I48" s="48">
        <f>H48/D48*100</f>
        <v>39.007740993176995</v>
      </c>
      <c r="J48" s="69">
        <f t="shared" si="5"/>
        <v>69.81450078256546</v>
      </c>
      <c r="K48" s="52">
        <f t="shared" si="6"/>
        <v>16098331.649999991</v>
      </c>
      <c r="L48" s="61">
        <f>SUM(L49:L100)</f>
        <v>0</v>
      </c>
      <c r="M48" s="61">
        <f aca="true" t="shared" si="12" ref="M48:X48">SUM(M49:M100)</f>
        <v>2416000</v>
      </c>
      <c r="N48" s="61">
        <f>SUM(N49:N100)</f>
        <v>3584000</v>
      </c>
      <c r="O48" s="61">
        <f t="shared" si="12"/>
        <v>640500</v>
      </c>
      <c r="P48" s="61">
        <f t="shared" si="12"/>
        <v>6993995.17</v>
      </c>
      <c r="Q48" s="61">
        <f t="shared" si="12"/>
        <v>14129230</v>
      </c>
      <c r="R48" s="61">
        <f t="shared" si="12"/>
        <v>10444146</v>
      </c>
      <c r="S48" s="61">
        <f t="shared" si="12"/>
        <v>15123470.26</v>
      </c>
      <c r="T48" s="61">
        <f t="shared" si="12"/>
        <v>9594282.61</v>
      </c>
      <c r="U48" s="61">
        <f t="shared" si="12"/>
        <v>16160445.11</v>
      </c>
      <c r="V48" s="61">
        <f t="shared" si="12"/>
        <v>13335125.219999999</v>
      </c>
      <c r="W48" s="61">
        <f>SUM(W49:W100)</f>
        <v>3029115.83</v>
      </c>
      <c r="X48" s="61">
        <f t="shared" si="12"/>
        <v>95450310.2</v>
      </c>
      <c r="Y48" s="70">
        <f>D48-X48</f>
        <v>0</v>
      </c>
    </row>
    <row r="49" spans="1:25" s="81" customFormat="1" ht="40.5" customHeight="1">
      <c r="A49" s="1"/>
      <c r="B49" s="29"/>
      <c r="C49" s="31" t="s">
        <v>31</v>
      </c>
      <c r="D49" s="32">
        <f aca="true" t="shared" si="13" ref="D49:D89">F49</f>
        <v>768000</v>
      </c>
      <c r="E49" s="30"/>
      <c r="F49" s="25">
        <f aca="true" t="shared" si="14" ref="F49:F100">G49</f>
        <v>768000</v>
      </c>
      <c r="G49" s="32">
        <f>192000+576000</f>
        <v>768000</v>
      </c>
      <c r="H49" s="25">
        <f>81260+1427.14+45242+45091.14+234240.07+85847.68+4174.27</f>
        <v>497282.3</v>
      </c>
      <c r="I49" s="46">
        <f>H49/D49*100</f>
        <v>64.75029947916666</v>
      </c>
      <c r="J49" s="68">
        <f t="shared" si="5"/>
        <v>99.96963412284279</v>
      </c>
      <c r="K49" s="52">
        <f t="shared" si="6"/>
        <v>151.04999999998836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0">
        <f aca="true" t="shared" si="15" ref="Y49:Y103">D49-X49</f>
        <v>0</v>
      </c>
    </row>
    <row r="50" spans="1:25" s="81" customFormat="1" ht="23.25" customHeight="1">
      <c r="A50" s="1"/>
      <c r="B50" s="29"/>
      <c r="C50" s="56" t="s">
        <v>66</v>
      </c>
      <c r="D50" s="32">
        <f t="shared" si="13"/>
        <v>64000</v>
      </c>
      <c r="E50" s="30"/>
      <c r="F50" s="25">
        <f t="shared" si="14"/>
        <v>64000</v>
      </c>
      <c r="G50" s="32">
        <f>164000-100000</f>
        <v>64000</v>
      </c>
      <c r="H50" s="25"/>
      <c r="I50" s="46"/>
      <c r="J50" s="68">
        <f t="shared" si="5"/>
        <v>0</v>
      </c>
      <c r="K50" s="52">
        <f t="shared" si="6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6" ref="X50:X100">SUM(L50:W50)</f>
        <v>64000</v>
      </c>
      <c r="Y50" s="70">
        <f t="shared" si="15"/>
        <v>0</v>
      </c>
    </row>
    <row r="51" spans="1:25" s="81" customFormat="1" ht="26.25" customHeight="1">
      <c r="A51" s="1"/>
      <c r="B51" s="29"/>
      <c r="C51" s="56" t="s">
        <v>67</v>
      </c>
      <c r="D51" s="32">
        <f t="shared" si="13"/>
        <v>109800</v>
      </c>
      <c r="E51" s="30"/>
      <c r="F51" s="25">
        <f t="shared" si="14"/>
        <v>109800</v>
      </c>
      <c r="G51" s="32">
        <v>109800</v>
      </c>
      <c r="H51" s="25"/>
      <c r="I51" s="46"/>
      <c r="J51" s="68"/>
      <c r="K51" s="52">
        <f t="shared" si="6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6"/>
        <v>109800</v>
      </c>
      <c r="Y51" s="70">
        <f t="shared" si="15"/>
        <v>0</v>
      </c>
    </row>
    <row r="52" spans="1:25" s="81" customFormat="1" ht="40.5" customHeight="1">
      <c r="A52" s="1"/>
      <c r="B52" s="29"/>
      <c r="C52" s="56" t="s">
        <v>68</v>
      </c>
      <c r="D52" s="32">
        <f t="shared" si="13"/>
        <v>25280</v>
      </c>
      <c r="E52" s="30"/>
      <c r="F52" s="25">
        <f t="shared" si="14"/>
        <v>25280</v>
      </c>
      <c r="G52" s="32">
        <v>25280</v>
      </c>
      <c r="H52" s="25"/>
      <c r="I52" s="46"/>
      <c r="J52" s="68">
        <f t="shared" si="5"/>
        <v>0</v>
      </c>
      <c r="K52" s="52">
        <f t="shared" si="6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6"/>
        <v>25280</v>
      </c>
      <c r="Y52" s="70">
        <f t="shared" si="15"/>
        <v>0</v>
      </c>
    </row>
    <row r="53" spans="1:25" s="81" customFormat="1" ht="24.75" customHeight="1">
      <c r="A53" s="1"/>
      <c r="B53" s="29"/>
      <c r="C53" s="56" t="s">
        <v>69</v>
      </c>
      <c r="D53" s="32">
        <f t="shared" si="13"/>
        <v>600000</v>
      </c>
      <c r="E53" s="30"/>
      <c r="F53" s="25">
        <f t="shared" si="14"/>
        <v>600000</v>
      </c>
      <c r="G53" s="32">
        <v>600000</v>
      </c>
      <c r="H53" s="25"/>
      <c r="I53" s="46"/>
      <c r="J53" s="68">
        <f t="shared" si="5"/>
        <v>0</v>
      </c>
      <c r="K53" s="52">
        <f t="shared" si="6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6"/>
        <v>600000</v>
      </c>
      <c r="Y53" s="70">
        <f t="shared" si="15"/>
        <v>0</v>
      </c>
    </row>
    <row r="54" spans="1:25" s="81" customFormat="1" ht="24.75" customHeight="1">
      <c r="A54" s="1"/>
      <c r="B54" s="29"/>
      <c r="C54" s="56" t="s">
        <v>70</v>
      </c>
      <c r="D54" s="32">
        <f t="shared" si="13"/>
        <v>1100000</v>
      </c>
      <c r="E54" s="30"/>
      <c r="F54" s="25">
        <f t="shared" si="14"/>
        <v>1100000</v>
      </c>
      <c r="G54" s="32">
        <f>850000+250000</f>
        <v>1100000</v>
      </c>
      <c r="H54" s="25">
        <f>386615.55</f>
        <v>386615.55</v>
      </c>
      <c r="I54" s="46">
        <f>H54/D54*100</f>
        <v>35.14686818181818</v>
      </c>
      <c r="J54" s="68">
        <f t="shared" si="5"/>
        <v>41.701455132408874</v>
      </c>
      <c r="K54" s="52">
        <f t="shared" si="6"/>
        <v>540487.71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6"/>
        <v>1100000</v>
      </c>
      <c r="Y54" s="70">
        <f t="shared" si="15"/>
        <v>0</v>
      </c>
    </row>
    <row r="55" spans="1:25" s="81" customFormat="1" ht="22.5" customHeight="1">
      <c r="A55" s="1"/>
      <c r="B55" s="29"/>
      <c r="C55" s="56" t="s">
        <v>71</v>
      </c>
      <c r="D55" s="32">
        <f t="shared" si="13"/>
        <v>750000</v>
      </c>
      <c r="E55" s="30"/>
      <c r="F55" s="25">
        <f t="shared" si="14"/>
        <v>750000</v>
      </c>
      <c r="G55" s="32">
        <v>750000</v>
      </c>
      <c r="H55" s="25"/>
      <c r="I55" s="46"/>
      <c r="J55" s="68"/>
      <c r="K55" s="52">
        <f t="shared" si="6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6"/>
        <v>750000</v>
      </c>
      <c r="Y55" s="70">
        <f t="shared" si="15"/>
        <v>0</v>
      </c>
    </row>
    <row r="56" spans="1:25" s="81" customFormat="1" ht="40.5" customHeight="1">
      <c r="A56" s="1"/>
      <c r="B56" s="29"/>
      <c r="C56" s="56" t="s">
        <v>108</v>
      </c>
      <c r="D56" s="32">
        <f t="shared" si="13"/>
        <v>1180000</v>
      </c>
      <c r="E56" s="30"/>
      <c r="F56" s="25">
        <f t="shared" si="14"/>
        <v>1180000</v>
      </c>
      <c r="G56" s="32">
        <f>850000+330000</f>
        <v>1180000</v>
      </c>
      <c r="H56" s="25">
        <f>553277.5+572421.29+39829+2163.95</f>
        <v>1167691.74</v>
      </c>
      <c r="I56" s="46">
        <f>H56/D56*100</f>
        <v>98.95692711864406</v>
      </c>
      <c r="J56" s="68">
        <f t="shared" si="5"/>
        <v>98.95692711864406</v>
      </c>
      <c r="K56" s="52">
        <f t="shared" si="6"/>
        <v>12308.26000000001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6"/>
        <v>1180000</v>
      </c>
      <c r="Y56" s="70">
        <f t="shared" si="15"/>
        <v>0</v>
      </c>
    </row>
    <row r="57" spans="1:25" s="81" customFormat="1" ht="40.5" customHeight="1" hidden="1">
      <c r="A57" s="1"/>
      <c r="B57" s="29"/>
      <c r="C57" s="56" t="s">
        <v>72</v>
      </c>
      <c r="D57" s="32">
        <f t="shared" si="13"/>
        <v>0</v>
      </c>
      <c r="E57" s="30"/>
      <c r="F57" s="25">
        <f t="shared" si="14"/>
        <v>0</v>
      </c>
      <c r="G57" s="32">
        <f>550000-550000</f>
        <v>0</v>
      </c>
      <c r="H57" s="25"/>
      <c r="I57" s="46" t="e">
        <f>H57/D57*100</f>
        <v>#DIV/0!</v>
      </c>
      <c r="J57" s="68" t="e">
        <f t="shared" si="5"/>
        <v>#DIV/0!</v>
      </c>
      <c r="K57" s="52">
        <f t="shared" si="6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6"/>
        <v>0</v>
      </c>
      <c r="Y57" s="70">
        <f t="shared" si="15"/>
        <v>0</v>
      </c>
    </row>
    <row r="58" spans="1:25" s="81" customFormat="1" ht="40.5" customHeight="1">
      <c r="A58" s="1"/>
      <c r="B58" s="29"/>
      <c r="C58" s="56" t="s">
        <v>73</v>
      </c>
      <c r="D58" s="32">
        <f t="shared" si="13"/>
        <v>120000</v>
      </c>
      <c r="E58" s="30"/>
      <c r="F58" s="25">
        <f t="shared" si="14"/>
        <v>120000</v>
      </c>
      <c r="G58" s="32">
        <v>120000</v>
      </c>
      <c r="H58" s="25"/>
      <c r="I58" s="46"/>
      <c r="J58" s="68"/>
      <c r="K58" s="52">
        <f t="shared" si="6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6"/>
        <v>120000</v>
      </c>
      <c r="Y58" s="70">
        <f t="shared" si="15"/>
        <v>0</v>
      </c>
    </row>
    <row r="59" spans="1:25" s="81" customFormat="1" ht="24.75" customHeight="1">
      <c r="A59" s="1"/>
      <c r="B59" s="29"/>
      <c r="C59" s="56" t="s">
        <v>74</v>
      </c>
      <c r="D59" s="32">
        <f t="shared" si="13"/>
        <v>128800</v>
      </c>
      <c r="E59" s="30"/>
      <c r="F59" s="25">
        <f t="shared" si="14"/>
        <v>128800</v>
      </c>
      <c r="G59" s="32">
        <v>128800</v>
      </c>
      <c r="H59" s="25"/>
      <c r="I59" s="46"/>
      <c r="J59" s="68">
        <f t="shared" si="5"/>
        <v>0</v>
      </c>
      <c r="K59" s="52">
        <f t="shared" si="6"/>
        <v>64400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6"/>
        <v>128800</v>
      </c>
      <c r="Y59" s="70">
        <f t="shared" si="15"/>
        <v>0</v>
      </c>
    </row>
    <row r="60" spans="1:25" s="81" customFormat="1" ht="23.25" customHeight="1">
      <c r="A60" s="1"/>
      <c r="B60" s="29"/>
      <c r="C60" s="56" t="s">
        <v>75</v>
      </c>
      <c r="D60" s="32">
        <f t="shared" si="13"/>
        <v>5000</v>
      </c>
      <c r="E60" s="30"/>
      <c r="F60" s="25">
        <f t="shared" si="14"/>
        <v>5000</v>
      </c>
      <c r="G60" s="32">
        <v>5000</v>
      </c>
      <c r="H60" s="25"/>
      <c r="I60" s="46"/>
      <c r="J60" s="68">
        <f t="shared" si="5"/>
        <v>0</v>
      </c>
      <c r="K60" s="52">
        <f t="shared" si="6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6"/>
        <v>5000</v>
      </c>
      <c r="Y60" s="70">
        <f t="shared" si="15"/>
        <v>0</v>
      </c>
    </row>
    <row r="61" spans="1:25" s="81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 t="shared" si="5"/>
        <v>30</v>
      </c>
      <c r="K61" s="52">
        <f t="shared" si="6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6"/>
        <v>500000</v>
      </c>
      <c r="Y61" s="70">
        <f t="shared" si="15"/>
        <v>0</v>
      </c>
    </row>
    <row r="62" spans="1:25" s="81" customFormat="1" ht="23.25" customHeight="1">
      <c r="A62" s="1"/>
      <c r="B62" s="29"/>
      <c r="C62" s="78" t="s">
        <v>115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>
        <f t="shared" si="5"/>
        <v>0</v>
      </c>
      <c r="K62" s="52">
        <f t="shared" si="6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6"/>
        <v>200000</v>
      </c>
      <c r="Y62" s="70">
        <f t="shared" si="15"/>
        <v>0</v>
      </c>
    </row>
    <row r="63" spans="1:25" s="81" customFormat="1" ht="24.75" customHeight="1">
      <c r="A63" s="1"/>
      <c r="B63" s="29"/>
      <c r="C63" s="55" t="s">
        <v>76</v>
      </c>
      <c r="D63" s="32">
        <f t="shared" si="13"/>
        <v>120000</v>
      </c>
      <c r="E63" s="30"/>
      <c r="F63" s="25">
        <f t="shared" si="14"/>
        <v>120000</v>
      </c>
      <c r="G63" s="32">
        <v>120000</v>
      </c>
      <c r="H63" s="25"/>
      <c r="I63" s="46"/>
      <c r="J63" s="68"/>
      <c r="K63" s="52">
        <f t="shared" si="6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6"/>
        <v>120000</v>
      </c>
      <c r="Y63" s="70">
        <f t="shared" si="15"/>
        <v>0</v>
      </c>
    </row>
    <row r="64" spans="1:25" s="81" customFormat="1" ht="39.75" customHeight="1">
      <c r="A64" s="1"/>
      <c r="B64" s="29"/>
      <c r="C64" s="56" t="s">
        <v>77</v>
      </c>
      <c r="D64" s="32">
        <f t="shared" si="13"/>
        <v>500</v>
      </c>
      <c r="E64" s="30"/>
      <c r="F64" s="25">
        <f t="shared" si="14"/>
        <v>500</v>
      </c>
      <c r="G64" s="32">
        <v>500</v>
      </c>
      <c r="H64" s="25"/>
      <c r="I64" s="46"/>
      <c r="J64" s="68">
        <f t="shared" si="5"/>
        <v>0</v>
      </c>
      <c r="K64" s="52">
        <f t="shared" si="6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6"/>
        <v>500</v>
      </c>
      <c r="Y64" s="70">
        <f t="shared" si="15"/>
        <v>0</v>
      </c>
    </row>
    <row r="65" spans="1:25" s="81" customFormat="1" ht="24.75" customHeight="1">
      <c r="A65" s="1"/>
      <c r="B65" s="29"/>
      <c r="C65" s="55" t="s">
        <v>78</v>
      </c>
      <c r="D65" s="32">
        <f t="shared" si="13"/>
        <v>50000</v>
      </c>
      <c r="E65" s="30"/>
      <c r="F65" s="25">
        <f t="shared" si="14"/>
        <v>50000</v>
      </c>
      <c r="G65" s="32">
        <v>50000</v>
      </c>
      <c r="H65" s="25"/>
      <c r="I65" s="46"/>
      <c r="J65" s="68">
        <f t="shared" si="5"/>
        <v>0</v>
      </c>
      <c r="K65" s="52">
        <f t="shared" si="6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6"/>
        <v>50000</v>
      </c>
      <c r="Y65" s="70">
        <f t="shared" si="15"/>
        <v>0</v>
      </c>
    </row>
    <row r="66" spans="1:25" s="81" customFormat="1" ht="24.75" customHeight="1">
      <c r="A66" s="1"/>
      <c r="B66" s="29"/>
      <c r="C66" s="31" t="s">
        <v>104</v>
      </c>
      <c r="D66" s="32">
        <f t="shared" si="13"/>
        <v>25000</v>
      </c>
      <c r="E66" s="30"/>
      <c r="F66" s="25">
        <f t="shared" si="14"/>
        <v>25000</v>
      </c>
      <c r="G66" s="32">
        <v>25000</v>
      </c>
      <c r="H66" s="25"/>
      <c r="I66" s="46"/>
      <c r="J66" s="68">
        <f t="shared" si="5"/>
        <v>0</v>
      </c>
      <c r="K66" s="52">
        <f t="shared" si="6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6"/>
        <v>25000</v>
      </c>
      <c r="Y66" s="70">
        <f t="shared" si="15"/>
        <v>0</v>
      </c>
    </row>
    <row r="67" spans="1:25" s="81" customFormat="1" ht="24.75" customHeight="1">
      <c r="A67" s="1"/>
      <c r="B67" s="29"/>
      <c r="C67" s="55" t="s">
        <v>79</v>
      </c>
      <c r="D67" s="32">
        <f t="shared" si="13"/>
        <v>200000</v>
      </c>
      <c r="E67" s="30"/>
      <c r="F67" s="25">
        <f t="shared" si="14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 t="shared" si="5"/>
        <v>30</v>
      </c>
      <c r="K67" s="52">
        <f t="shared" si="6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6"/>
        <v>200000</v>
      </c>
      <c r="Y67" s="70">
        <f t="shared" si="15"/>
        <v>0</v>
      </c>
    </row>
    <row r="68" spans="1:25" s="81" customFormat="1" ht="24.75" customHeight="1">
      <c r="A68" s="1"/>
      <c r="B68" s="29"/>
      <c r="C68" s="55" t="s">
        <v>80</v>
      </c>
      <c r="D68" s="32">
        <f t="shared" si="13"/>
        <v>200000</v>
      </c>
      <c r="E68" s="30"/>
      <c r="F68" s="25">
        <f t="shared" si="14"/>
        <v>200000</v>
      </c>
      <c r="G68" s="32">
        <v>200000</v>
      </c>
      <c r="H68" s="25"/>
      <c r="I68" s="46"/>
      <c r="J68" s="68">
        <f t="shared" si="5"/>
        <v>0</v>
      </c>
      <c r="K68" s="52">
        <f t="shared" si="6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6"/>
        <v>200000</v>
      </c>
      <c r="Y68" s="70">
        <f t="shared" si="15"/>
        <v>0</v>
      </c>
    </row>
    <row r="69" spans="1:25" s="81" customFormat="1" ht="24.75" customHeight="1">
      <c r="A69" s="1"/>
      <c r="B69" s="29"/>
      <c r="C69" s="55" t="s">
        <v>81</v>
      </c>
      <c r="D69" s="32">
        <f t="shared" si="13"/>
        <v>5300000</v>
      </c>
      <c r="E69" s="30"/>
      <c r="F69" s="25">
        <f t="shared" si="14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 t="shared" si="5"/>
        <v>100</v>
      </c>
      <c r="K69" s="52">
        <f t="shared" si="6"/>
        <v>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6"/>
        <v>5300000</v>
      </c>
      <c r="Y69" s="70">
        <f t="shared" si="15"/>
        <v>0</v>
      </c>
    </row>
    <row r="70" spans="1:25" s="81" customFormat="1" ht="24.75" customHeight="1">
      <c r="A70" s="1"/>
      <c r="B70" s="29"/>
      <c r="C70" s="57" t="s">
        <v>82</v>
      </c>
      <c r="D70" s="32">
        <f t="shared" si="13"/>
        <v>350000</v>
      </c>
      <c r="E70" s="30"/>
      <c r="F70" s="25">
        <f t="shared" si="14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 t="shared" si="5"/>
        <v>30</v>
      </c>
      <c r="K70" s="52">
        <f t="shared" si="6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6"/>
        <v>350000</v>
      </c>
      <c r="Y70" s="70">
        <f t="shared" si="15"/>
        <v>0</v>
      </c>
    </row>
    <row r="71" spans="1:25" s="81" customFormat="1" ht="24.75" customHeight="1">
      <c r="A71" s="1"/>
      <c r="B71" s="29"/>
      <c r="C71" s="56" t="s">
        <v>83</v>
      </c>
      <c r="D71" s="32">
        <f t="shared" si="13"/>
        <v>200000</v>
      </c>
      <c r="E71" s="30"/>
      <c r="F71" s="25">
        <f t="shared" si="14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 t="shared" si="5"/>
        <v>53.587217662346944</v>
      </c>
      <c r="K71" s="52">
        <f t="shared" si="6"/>
        <v>51967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6"/>
        <v>200000</v>
      </c>
      <c r="Y71" s="70">
        <f t="shared" si="15"/>
        <v>0</v>
      </c>
    </row>
    <row r="72" spans="1:25" s="81" customFormat="1" ht="24.75" customHeight="1">
      <c r="A72" s="1"/>
      <c r="B72" s="29"/>
      <c r="C72" s="58" t="s">
        <v>84</v>
      </c>
      <c r="D72" s="32">
        <f t="shared" si="13"/>
        <v>250000</v>
      </c>
      <c r="E72" s="30"/>
      <c r="F72" s="25">
        <f t="shared" si="14"/>
        <v>250000</v>
      </c>
      <c r="G72" s="32">
        <v>250000</v>
      </c>
      <c r="H72" s="25"/>
      <c r="I72" s="46"/>
      <c r="J72" s="68"/>
      <c r="K72" s="52">
        <f t="shared" si="6"/>
        <v>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6"/>
        <v>250000</v>
      </c>
      <c r="Y72" s="70">
        <f t="shared" si="15"/>
        <v>0</v>
      </c>
    </row>
    <row r="73" spans="1:25" s="81" customFormat="1" ht="24.75" customHeight="1">
      <c r="A73" s="1"/>
      <c r="B73" s="29"/>
      <c r="C73" s="56" t="s">
        <v>85</v>
      </c>
      <c r="D73" s="32">
        <f t="shared" si="13"/>
        <v>260000</v>
      </c>
      <c r="E73" s="30"/>
      <c r="F73" s="25">
        <f t="shared" si="14"/>
        <v>260000</v>
      </c>
      <c r="G73" s="32">
        <v>260000</v>
      </c>
      <c r="H73" s="25"/>
      <c r="I73" s="46"/>
      <c r="J73" s="68"/>
      <c r="K73" s="52">
        <f t="shared" si="6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6"/>
        <v>260000</v>
      </c>
      <c r="Y73" s="70">
        <f t="shared" si="15"/>
        <v>0</v>
      </c>
    </row>
    <row r="74" spans="1:25" s="81" customFormat="1" ht="24.75" customHeight="1">
      <c r="A74" s="1"/>
      <c r="B74" s="29"/>
      <c r="C74" s="56" t="s">
        <v>102</v>
      </c>
      <c r="D74" s="32">
        <f t="shared" si="13"/>
        <v>150000</v>
      </c>
      <c r="E74" s="30"/>
      <c r="F74" s="25">
        <f t="shared" si="14"/>
        <v>150000</v>
      </c>
      <c r="G74" s="32">
        <v>150000</v>
      </c>
      <c r="H74" s="25"/>
      <c r="I74" s="46"/>
      <c r="J74" s="68"/>
      <c r="K74" s="52">
        <f t="shared" si="6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6"/>
        <v>150000</v>
      </c>
      <c r="Y74" s="70">
        <f t="shared" si="15"/>
        <v>0</v>
      </c>
    </row>
    <row r="75" spans="1:25" s="81" customFormat="1" ht="24.75" customHeight="1">
      <c r="A75" s="1"/>
      <c r="B75" s="29"/>
      <c r="C75" s="56" t="s">
        <v>86</v>
      </c>
      <c r="D75" s="32">
        <f t="shared" si="13"/>
        <v>150000</v>
      </c>
      <c r="E75" s="30"/>
      <c r="F75" s="25">
        <f t="shared" si="14"/>
        <v>150000</v>
      </c>
      <c r="G75" s="32">
        <v>150000</v>
      </c>
      <c r="H75" s="25"/>
      <c r="I75" s="46"/>
      <c r="J75" s="68"/>
      <c r="K75" s="52">
        <f t="shared" si="6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6"/>
        <v>150000</v>
      </c>
      <c r="Y75" s="70">
        <f t="shared" si="15"/>
        <v>0</v>
      </c>
    </row>
    <row r="76" spans="1:25" s="81" customFormat="1" ht="24.75" customHeight="1">
      <c r="A76" s="1"/>
      <c r="B76" s="29"/>
      <c r="C76" s="55" t="s">
        <v>87</v>
      </c>
      <c r="D76" s="32">
        <f t="shared" si="13"/>
        <v>14500000</v>
      </c>
      <c r="E76" s="30"/>
      <c r="F76" s="25">
        <f t="shared" si="14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 t="shared" si="5"/>
        <v>99.7185549165603</v>
      </c>
      <c r="K76" s="52">
        <f t="shared" si="6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6"/>
        <v>14500000</v>
      </c>
      <c r="Y76" s="70">
        <f t="shared" si="15"/>
        <v>0</v>
      </c>
    </row>
    <row r="77" spans="1:25" s="81" customFormat="1" ht="21.75" customHeight="1">
      <c r="A77" s="1"/>
      <c r="B77" s="29"/>
      <c r="C77" s="55" t="s">
        <v>88</v>
      </c>
      <c r="D77" s="32">
        <f t="shared" si="13"/>
        <v>3050000</v>
      </c>
      <c r="E77" s="30"/>
      <c r="F77" s="25">
        <f t="shared" si="14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 t="shared" si="5"/>
        <v>76.18160385496205</v>
      </c>
      <c r="K77" s="52">
        <f t="shared" si="6"/>
        <v>462507.76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6"/>
        <v>3050000</v>
      </c>
      <c r="Y77" s="70">
        <f t="shared" si="15"/>
        <v>0</v>
      </c>
    </row>
    <row r="78" spans="1:25" s="81" customFormat="1" ht="18.75" customHeight="1">
      <c r="A78" s="1"/>
      <c r="B78" s="29"/>
      <c r="C78" s="55" t="s">
        <v>89</v>
      </c>
      <c r="D78" s="32">
        <f t="shared" si="13"/>
        <v>3926191</v>
      </c>
      <c r="E78" s="30"/>
      <c r="F78" s="25">
        <f t="shared" si="14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8">
        <f t="shared" si="5"/>
        <v>86.89395421669501</v>
      </c>
      <c r="K78" s="52">
        <f t="shared" si="6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6"/>
        <v>3926191</v>
      </c>
      <c r="Y78" s="70">
        <f t="shared" si="15"/>
        <v>0</v>
      </c>
    </row>
    <row r="79" spans="1:25" s="81" customFormat="1" ht="18.75" customHeight="1">
      <c r="A79" s="1"/>
      <c r="B79" s="29"/>
      <c r="C79" s="31" t="s">
        <v>32</v>
      </c>
      <c r="D79" s="32">
        <f t="shared" si="13"/>
        <v>2519000</v>
      </c>
      <c r="E79" s="30"/>
      <c r="F79" s="25">
        <f t="shared" si="14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 t="shared" si="5"/>
        <v>42.981714569273514</v>
      </c>
      <c r="K79" s="52">
        <f t="shared" si="6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6"/>
        <v>2519000</v>
      </c>
      <c r="Y79" s="70">
        <f t="shared" si="15"/>
        <v>0</v>
      </c>
    </row>
    <row r="80" spans="1:25" s="81" customFormat="1" ht="19.5" customHeight="1">
      <c r="A80" s="1"/>
      <c r="B80" s="29"/>
      <c r="C80" s="31" t="s">
        <v>33</v>
      </c>
      <c r="D80" s="32">
        <f t="shared" si="13"/>
        <v>4000000</v>
      </c>
      <c r="E80" s="30"/>
      <c r="F80" s="25">
        <f t="shared" si="14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 t="shared" si="5"/>
        <v>5.931969523809523</v>
      </c>
      <c r="K80" s="52">
        <f t="shared" si="6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6"/>
        <v>4000000</v>
      </c>
      <c r="Y80" s="70">
        <f t="shared" si="15"/>
        <v>0</v>
      </c>
    </row>
    <row r="81" spans="1:25" s="81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>
        <f t="shared" si="5"/>
        <v>0</v>
      </c>
      <c r="K81" s="52">
        <f t="shared" si="6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6"/>
        <v>100000</v>
      </c>
      <c r="Y81" s="70">
        <f t="shared" si="15"/>
        <v>0</v>
      </c>
    </row>
    <row r="82" spans="1:25" s="81" customFormat="1" ht="19.5" customHeight="1">
      <c r="A82" s="1"/>
      <c r="B82" s="29"/>
      <c r="C82" s="31" t="s">
        <v>116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6"/>
        <v>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6"/>
        <v>500000</v>
      </c>
      <c r="Y82" s="70">
        <f t="shared" si="15"/>
        <v>0</v>
      </c>
    </row>
    <row r="83" spans="1:25" s="81" customFormat="1" ht="19.5" customHeight="1">
      <c r="A83" s="1"/>
      <c r="B83" s="29"/>
      <c r="C83" s="31" t="s">
        <v>117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6"/>
        <v>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6"/>
        <v>1480000</v>
      </c>
      <c r="Y83" s="70">
        <f t="shared" si="15"/>
        <v>0</v>
      </c>
    </row>
    <row r="84" spans="1:25" s="81" customFormat="1" ht="40.5" customHeight="1">
      <c r="A84" s="1"/>
      <c r="B84" s="29"/>
      <c r="C84" s="55" t="s">
        <v>34</v>
      </c>
      <c r="D84" s="32">
        <f t="shared" si="13"/>
        <v>147000</v>
      </c>
      <c r="E84" s="30"/>
      <c r="F84" s="25">
        <f t="shared" si="14"/>
        <v>147000</v>
      </c>
      <c r="G84" s="32">
        <f>462000+385000-700000</f>
        <v>147000</v>
      </c>
      <c r="H84" s="25"/>
      <c r="I84" s="46"/>
      <c r="J84" s="68">
        <f t="shared" si="5"/>
        <v>0</v>
      </c>
      <c r="K84" s="52">
        <f t="shared" si="6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6"/>
        <v>147000</v>
      </c>
      <c r="Y84" s="70">
        <f t="shared" si="15"/>
        <v>0</v>
      </c>
    </row>
    <row r="85" spans="1:25" s="81" customFormat="1" ht="40.5" customHeight="1">
      <c r="A85" s="1"/>
      <c r="B85" s="29"/>
      <c r="C85" s="55" t="s">
        <v>90</v>
      </c>
      <c r="D85" s="32">
        <f t="shared" si="13"/>
        <v>11600000</v>
      </c>
      <c r="E85" s="30"/>
      <c r="F85" s="25">
        <f t="shared" si="14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 t="shared" si="5"/>
        <v>91.63987138263666</v>
      </c>
      <c r="K85" s="52">
        <f t="shared" si="6"/>
        <v>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6"/>
        <v>11600000</v>
      </c>
      <c r="Y85" s="70">
        <f t="shared" si="15"/>
        <v>0</v>
      </c>
    </row>
    <row r="86" spans="1:25" s="81" customFormat="1" ht="40.5" customHeight="1">
      <c r="A86" s="1"/>
      <c r="B86" s="29"/>
      <c r="C86" s="31" t="s">
        <v>35</v>
      </c>
      <c r="D86" s="32">
        <f t="shared" si="13"/>
        <v>2188000</v>
      </c>
      <c r="E86" s="30"/>
      <c r="F86" s="25">
        <f t="shared" si="14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 t="shared" si="5"/>
        <v>82.10184325215685</v>
      </c>
      <c r="K86" s="52">
        <f t="shared" si="6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6"/>
        <v>2188000</v>
      </c>
      <c r="Y86" s="70">
        <f t="shared" si="15"/>
        <v>0</v>
      </c>
    </row>
    <row r="87" spans="1:25" s="81" customFormat="1" ht="39.75" customHeight="1">
      <c r="A87" s="1"/>
      <c r="B87" s="29"/>
      <c r="C87" s="55" t="s">
        <v>36</v>
      </c>
      <c r="D87" s="32">
        <f t="shared" si="13"/>
        <v>254000</v>
      </c>
      <c r="E87" s="30"/>
      <c r="F87" s="25">
        <f t="shared" si="14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 t="shared" si="5"/>
        <v>44.439665354330714</v>
      </c>
      <c r="K87" s="52">
        <f t="shared" si="6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6"/>
        <v>254000</v>
      </c>
      <c r="Y87" s="70">
        <f t="shared" si="15"/>
        <v>0</v>
      </c>
    </row>
    <row r="88" spans="1:25" s="81" customFormat="1" ht="39.75" customHeight="1">
      <c r="A88" s="1"/>
      <c r="B88" s="29"/>
      <c r="C88" s="55" t="s">
        <v>91</v>
      </c>
      <c r="D88" s="32">
        <f t="shared" si="13"/>
        <v>20000000</v>
      </c>
      <c r="E88" s="30"/>
      <c r="F88" s="25">
        <f t="shared" si="14"/>
        <v>20000000</v>
      </c>
      <c r="G88" s="32">
        <f>16000000+4000000</f>
        <v>20000000</v>
      </c>
      <c r="H88" s="25">
        <f>13429+7850000+306023.62+885285.6+1757858.8+137329.67+2000000</f>
        <v>12949926.690000001</v>
      </c>
      <c r="I88" s="46">
        <f>H88/D88*100</f>
        <v>64.74963345</v>
      </c>
      <c r="J88" s="68">
        <f t="shared" si="5"/>
        <v>98.94503889058682</v>
      </c>
      <c r="K88" s="52">
        <f t="shared" si="6"/>
        <v>138073.30999999866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</f>
        <v>4000000</v>
      </c>
      <c r="T88" s="60">
        <f>1731585.76-912200-170000+1000000</f>
        <v>1649385.76</v>
      </c>
      <c r="U88" s="60">
        <f>3000000-900000-2000000+2000000-2000000</f>
        <v>100000</v>
      </c>
      <c r="V88" s="60">
        <f>3741261.78+1000000</f>
        <v>4741261.779999999</v>
      </c>
      <c r="W88" s="60">
        <f>3421352.46-3000000</f>
        <v>421352.45999999996</v>
      </c>
      <c r="X88" s="59">
        <f t="shared" si="16"/>
        <v>20000000</v>
      </c>
      <c r="Y88" s="70">
        <f t="shared" si="15"/>
        <v>0</v>
      </c>
    </row>
    <row r="89" spans="1:25" s="81" customFormat="1" ht="22.5" customHeight="1">
      <c r="A89" s="1"/>
      <c r="B89" s="29"/>
      <c r="C89" s="31" t="s">
        <v>37</v>
      </c>
      <c r="D89" s="32">
        <f t="shared" si="13"/>
        <v>137000</v>
      </c>
      <c r="E89" s="30"/>
      <c r="F89" s="25">
        <f t="shared" si="14"/>
        <v>137000</v>
      </c>
      <c r="G89" s="32">
        <f>837000-700000</f>
        <v>137000</v>
      </c>
      <c r="H89" s="25"/>
      <c r="I89" s="46"/>
      <c r="J89" s="68">
        <f t="shared" si="5"/>
        <v>0</v>
      </c>
      <c r="K89" s="52">
        <f t="shared" si="6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6"/>
        <v>137000</v>
      </c>
      <c r="Y89" s="70">
        <f t="shared" si="15"/>
        <v>0</v>
      </c>
    </row>
    <row r="90" spans="1:25" s="8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4"/>
        <v>400000</v>
      </c>
      <c r="G90" s="32">
        <f>900000-500000</f>
        <v>400000</v>
      </c>
      <c r="H90" s="25"/>
      <c r="I90" s="46"/>
      <c r="J90" s="68">
        <f aca="true" t="shared" si="17" ref="J90:J101">H90/(L90+M90+N90+O90+P90+Q90+R90+S90)*100</f>
        <v>0</v>
      </c>
      <c r="K90" s="52">
        <f aca="true" t="shared" si="18" ref="K90:K101">L90+M90+N90+O90+P90+Q90+R90+S90-H90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v>10000</v>
      </c>
      <c r="T90" s="59"/>
      <c r="U90" s="59"/>
      <c r="V90" s="59"/>
      <c r="W90" s="59">
        <f>192000-192000</f>
        <v>0</v>
      </c>
      <c r="X90" s="59">
        <f t="shared" si="16"/>
        <v>400000</v>
      </c>
      <c r="Y90" s="70">
        <f t="shared" si="15"/>
        <v>0</v>
      </c>
    </row>
    <row r="91" spans="1:25" s="8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4"/>
        <v>248000</v>
      </c>
      <c r="G91" s="25">
        <v>248000</v>
      </c>
      <c r="H91" s="25"/>
      <c r="I91" s="46"/>
      <c r="J91" s="68">
        <f t="shared" si="17"/>
        <v>0</v>
      </c>
      <c r="K91" s="52">
        <f t="shared" si="18"/>
        <v>71000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6"/>
        <v>248000</v>
      </c>
      <c r="Y91" s="70">
        <f t="shared" si="15"/>
        <v>0</v>
      </c>
    </row>
    <row r="92" spans="1:25" s="81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4"/>
        <v>10545999.2</v>
      </c>
      <c r="G92" s="32">
        <f>13000000-2454000.8</f>
        <v>10545999.2</v>
      </c>
      <c r="H92" s="25"/>
      <c r="I92" s="46"/>
      <c r="J92" s="68">
        <f t="shared" si="17"/>
        <v>0</v>
      </c>
      <c r="K92" s="52">
        <f t="shared" si="18"/>
        <v>5108146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</f>
        <v>2725000</v>
      </c>
      <c r="T92" s="60">
        <f>470000+29854</f>
        <v>499854</v>
      </c>
      <c r="U92" s="60">
        <f>1000000+507000+1000000-569000.8+3000000</f>
        <v>4937999.2</v>
      </c>
      <c r="V92" s="60">
        <f>1000000-1000000</f>
        <v>0</v>
      </c>
      <c r="W92" s="60">
        <f>855000+30000-885000</f>
        <v>0</v>
      </c>
      <c r="X92" s="59">
        <f t="shared" si="16"/>
        <v>10545999.2</v>
      </c>
      <c r="Y92" s="70">
        <f t="shared" si="15"/>
        <v>0</v>
      </c>
    </row>
    <row r="93" spans="1:25" s="81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4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 t="shared" si="17"/>
        <v>28.54271929964681</v>
      </c>
      <c r="K93" s="52">
        <f t="shared" si="18"/>
        <v>1440009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6"/>
        <v>3585100</v>
      </c>
      <c r="Y93" s="70">
        <f t="shared" si="15"/>
        <v>0</v>
      </c>
    </row>
    <row r="94" spans="1:25" s="81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4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8">
        <f t="shared" si="17"/>
        <v>36.711</v>
      </c>
      <c r="K94" s="52">
        <f t="shared" si="18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6"/>
        <v>300000</v>
      </c>
      <c r="Y94" s="70">
        <f t="shared" si="15"/>
        <v>0</v>
      </c>
    </row>
    <row r="95" spans="1:25" s="81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4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 t="shared" si="17"/>
        <v>99.90636363636364</v>
      </c>
      <c r="K95" s="52">
        <f t="shared" si="18"/>
        <v>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6"/>
        <v>300000</v>
      </c>
      <c r="Y95" s="70">
        <f t="shared" si="15"/>
        <v>0</v>
      </c>
    </row>
    <row r="96" spans="1:25" s="81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4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 t="shared" si="17"/>
        <v>25.982451672862457</v>
      </c>
      <c r="K96" s="52">
        <f t="shared" si="18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6"/>
        <v>538000</v>
      </c>
      <c r="Y96" s="70">
        <f t="shared" si="15"/>
        <v>0</v>
      </c>
    </row>
    <row r="97" spans="1:25" s="81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4"/>
        <v>5000</v>
      </c>
      <c r="G97" s="32">
        <v>5000</v>
      </c>
      <c r="H97" s="25"/>
      <c r="I97" s="46"/>
      <c r="J97" s="68">
        <f t="shared" si="17"/>
        <v>0</v>
      </c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6"/>
        <v>5000</v>
      </c>
      <c r="Y97" s="70">
        <f t="shared" si="15"/>
        <v>0</v>
      </c>
    </row>
    <row r="98" spans="1:25" s="81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4"/>
        <v>20640</v>
      </c>
      <c r="G98" s="32">
        <v>20640</v>
      </c>
      <c r="H98" s="25"/>
      <c r="I98" s="46"/>
      <c r="J98" s="68"/>
      <c r="K98" s="52">
        <f t="shared" si="18"/>
        <v>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6"/>
        <v>20640</v>
      </c>
      <c r="Y98" s="70">
        <f t="shared" si="15"/>
        <v>0</v>
      </c>
    </row>
    <row r="99" spans="1:25" s="81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4"/>
        <v>250000</v>
      </c>
      <c r="G99" s="32">
        <v>250000</v>
      </c>
      <c r="H99" s="25"/>
      <c r="I99" s="46"/>
      <c r="J99" s="68"/>
      <c r="K99" s="52">
        <f t="shared" si="18"/>
        <v>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6"/>
        <v>250000</v>
      </c>
      <c r="Y99" s="70">
        <f t="shared" si="15"/>
        <v>0</v>
      </c>
    </row>
    <row r="100" spans="1:25" s="81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4"/>
        <v>2050000</v>
      </c>
      <c r="G100" s="32">
        <f>50000+2000000</f>
        <v>2050000</v>
      </c>
      <c r="H100" s="25"/>
      <c r="I100" s="46"/>
      <c r="J100" s="68"/>
      <c r="K100" s="52">
        <f t="shared" si="18"/>
        <v>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6"/>
        <v>2050000</v>
      </c>
      <c r="Y100" s="70">
        <f t="shared" si="15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110428258.27000001</v>
      </c>
      <c r="I101" s="44">
        <f>H101/D101*100</f>
        <v>45.55790838151376</v>
      </c>
      <c r="J101" s="69">
        <f t="shared" si="17"/>
        <v>67.62292035222117</v>
      </c>
      <c r="K101" s="52">
        <f t="shared" si="18"/>
        <v>52871785.109999985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42633908.06</v>
      </c>
      <c r="T101" s="20">
        <f t="shared" si="20"/>
        <v>17271941.64</v>
      </c>
      <c r="U101" s="20">
        <f t="shared" si="20"/>
        <v>26720518.68</v>
      </c>
      <c r="V101" s="20">
        <f t="shared" si="20"/>
        <v>20218002.509999998</v>
      </c>
      <c r="W101" s="20">
        <f t="shared" si="20"/>
        <v>14880468.69</v>
      </c>
      <c r="X101" s="20">
        <f t="shared" si="20"/>
        <v>242390974.89999998</v>
      </c>
      <c r="Y101" s="70">
        <f t="shared" si="15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5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5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L4:L5"/>
    <mergeCell ref="K4:K5"/>
    <mergeCell ref="J4:J6"/>
    <mergeCell ref="F4:F5"/>
    <mergeCell ref="J10:J14"/>
    <mergeCell ref="J17:J24"/>
    <mergeCell ref="A46:I46"/>
    <mergeCell ref="A1:H1"/>
    <mergeCell ref="A2:H2"/>
    <mergeCell ref="H4:H5"/>
    <mergeCell ref="A4:A5"/>
    <mergeCell ref="C4:C5"/>
    <mergeCell ref="D4:D5"/>
    <mergeCell ref="E4:E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2016-08-04T13:11:39Z</cp:lastPrinted>
  <dcterms:created xsi:type="dcterms:W3CDTF">2014-01-17T10:52:16Z</dcterms:created>
  <dcterms:modified xsi:type="dcterms:W3CDTF">2016-08-08T12:53:41Z</dcterms:modified>
  <cp:category/>
  <cp:version/>
  <cp:contentType/>
  <cp:contentStatus/>
</cp:coreProperties>
</file>